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MAIN\Noutati\"/>
    </mc:Choice>
  </mc:AlternateContent>
  <xr:revisionPtr revIDLastSave="0" documentId="13_ncr:1_{BB410497-A1FE-41EC-981C-CB3704038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8" i="1" l="1"/>
  <c r="I21" i="3" l="1"/>
  <c r="H25" i="2" l="1"/>
  <c r="H99" i="2"/>
  <c r="H150" i="2"/>
  <c r="H43" i="2"/>
  <c r="H11" i="2"/>
  <c r="H148" i="2"/>
  <c r="H79" i="2"/>
  <c r="H75" i="2"/>
  <c r="H73" i="2"/>
  <c r="I21" i="2"/>
  <c r="I20" i="2"/>
  <c r="I148" i="2"/>
  <c r="I18" i="2"/>
  <c r="F18" i="2"/>
  <c r="I61" i="2"/>
  <c r="I59" i="2"/>
  <c r="I50" i="2"/>
  <c r="I49" i="2"/>
  <c r="I40" i="2"/>
  <c r="I11" i="2"/>
  <c r="I31" i="2"/>
  <c r="I18" i="3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D90" i="3" s="1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 s="1"/>
  <c r="G75" i="3"/>
  <c r="D75" i="3"/>
  <c r="G74" i="3"/>
  <c r="D74" i="3"/>
  <c r="G73" i="3"/>
  <c r="D73" i="3"/>
  <c r="I72" i="3"/>
  <c r="H72" i="3"/>
  <c r="G72" i="3" s="1"/>
  <c r="F72" i="3"/>
  <c r="F71" i="3" s="1"/>
  <c r="E72" i="3"/>
  <c r="D72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D137" i="2" s="1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G128" i="2" s="1"/>
  <c r="F128" i="2"/>
  <c r="E128" i="2"/>
  <c r="G127" i="2"/>
  <c r="D127" i="2"/>
  <c r="I126" i="2"/>
  <c r="H126" i="2"/>
  <c r="F126" i="2"/>
  <c r="E126" i="2"/>
  <c r="E125" i="2" s="1"/>
  <c r="E124" i="2" s="1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F121" i="2"/>
  <c r="E121" i="2"/>
  <c r="D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G106" i="2" s="1"/>
  <c r="F106" i="2"/>
  <c r="D106" i="2" s="1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I33" i="2" s="1"/>
  <c r="H37" i="2"/>
  <c r="F37" i="2"/>
  <c r="E37" i="2"/>
  <c r="E33" i="2" s="1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D30" i="2" s="1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E17" i="2" s="1"/>
  <c r="G22" i="2"/>
  <c r="D22" i="2"/>
  <c r="G21" i="2"/>
  <c r="D21" i="2"/>
  <c r="G20" i="2"/>
  <c r="D20" i="2"/>
  <c r="I19" i="2"/>
  <c r="I17" i="2" s="1"/>
  <c r="H19" i="2"/>
  <c r="F19" i="2"/>
  <c r="D19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H17" i="3" l="1"/>
  <c r="D10" i="2"/>
  <c r="F33" i="2"/>
  <c r="I71" i="2"/>
  <c r="I154" i="2" s="1"/>
  <c r="G94" i="2"/>
  <c r="G126" i="2"/>
  <c r="G76" i="2"/>
  <c r="G85" i="2"/>
  <c r="G121" i="2"/>
  <c r="D147" i="2"/>
  <c r="D147" i="3"/>
  <c r="D37" i="3"/>
  <c r="G94" i="3"/>
  <c r="G126" i="3"/>
  <c r="D128" i="3"/>
  <c r="D94" i="2"/>
  <c r="F71" i="2"/>
  <c r="F154" i="2" s="1"/>
  <c r="D72" i="2"/>
  <c r="G147" i="2"/>
  <c r="D17" i="3"/>
  <c r="B153" i="2"/>
  <c r="C153" i="3"/>
  <c r="I155" i="3"/>
  <c r="E71" i="2"/>
  <c r="E154" i="2" s="1"/>
  <c r="D85" i="2"/>
  <c r="D126" i="2"/>
  <c r="E154" i="3"/>
  <c r="I71" i="3"/>
  <c r="I154" i="3" s="1"/>
  <c r="H125" i="3"/>
  <c r="I124" i="3"/>
  <c r="C153" i="2"/>
  <c r="F17" i="2"/>
  <c r="D17" i="2" s="1"/>
  <c r="I155" i="2"/>
  <c r="D23" i="2"/>
  <c r="D33" i="2"/>
  <c r="D37" i="2"/>
  <c r="H125" i="2"/>
  <c r="I17" i="3"/>
  <c r="G17" i="3" s="1"/>
  <c r="F155" i="3"/>
  <c r="F154" i="3"/>
  <c r="E71" i="3"/>
  <c r="D71" i="3" s="1"/>
  <c r="D85" i="3"/>
  <c r="H17" i="2"/>
  <c r="G17" i="2" s="1"/>
  <c r="E155" i="2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H33" i="3"/>
  <c r="G33" i="3" s="1"/>
  <c r="H71" i="3"/>
  <c r="I153" i="2"/>
  <c r="G10" i="2"/>
  <c r="G19" i="2"/>
  <c r="G30" i="2"/>
  <c r="H33" i="2"/>
  <c r="G33" i="2" s="1"/>
  <c r="H71" i="2"/>
  <c r="F125" i="2"/>
  <c r="I37" i="1"/>
  <c r="H37" i="1"/>
  <c r="F37" i="1"/>
  <c r="E37" i="1"/>
  <c r="G71" i="2" l="1"/>
  <c r="D154" i="3"/>
  <c r="D71" i="2"/>
  <c r="D154" i="2" s="1"/>
  <c r="G154" i="2"/>
  <c r="G71" i="3"/>
  <c r="G154" i="3" s="1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<sst xmlns="http://schemas.openxmlformats.org/spreadsheetml/2006/main" count="1095" uniqueCount="168">
  <si>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</si>
  <si>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</si>
  <si>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</si>
  <si>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</si>
  <si>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</si>
  <si>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</si>
  <si>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</si>
  <si>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</si>
  <si>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</si>
  <si>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</si>
  <si>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</si>
  <si>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</si>
  <si>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</si>
  <si>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</si>
  <si>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</si>
  <si>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</si>
  <si>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</si>
  <si>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</si>
  <si>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</si>
  <si>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</si>
  <si>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</si>
  <si>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</si>
  <si>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</si>
  <si>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</si>
  <si>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</si>
  <si>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</si>
  <si>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</si>
  <si>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</si>
  <si>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</si>
  <si>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</si>
  <si>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</si>
  <si>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</si>
  <si>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</si>
  <si>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</si>
  <si>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</si>
  <si>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</si>
  <si>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</si>
  <si>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</si>
  <si>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</si>
  <si>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</si>
  <si>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</si>
  <si>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</si>
  <si>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</si>
  <si>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</si>
  <si>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</si>
  <si>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</si>
  <si>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</si>
  <si>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</si>
  <si>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</si>
  <si>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</si>
  <si>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</si>
  <si>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</si>
  <si>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</si>
  <si>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</si>
  <si>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</si>
  <si>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</si>
  <si>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</si>
  <si>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</si>
  <si>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</si>
  <si>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</si>
  <si>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</si>
  <si>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</si>
  <si>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</si>
  <si>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</si>
  <si>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</si>
  <si>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</si>
  <si>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</si>
  <si>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</si>
  <si>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</si>
  <si>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</si>
  <si>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</si>
  <si>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</si>
  <si>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</si>
  <si>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</si>
  <si>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</si>
  <si>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</si>
  <si>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</si>
  <si>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</si>
  <si>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</si>
  <si>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</si>
  <si>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</si>
  <si>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</si>
  <si>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</si>
  <si>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</si>
  <si>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</si>
  <si>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</si>
  <si>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</si>
  <si>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</si>
  <si>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</si>
  <si>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</si>
  <si>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</si>
  <si>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</si>
  <si>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</si>
  <si>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</si>
  <si>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</si>
  <si>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</si>
  <si>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</si>
  <si>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</si>
  <si>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</si>
  <si>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</si>
  <si>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</si>
  <si>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</si>
  <si>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</si>
  <si>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</si>
  <si>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</si>
  <si>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</si>
  <si>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</si>
  <si>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</si>
  <si>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</si>
  <si>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</si>
  <si>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</si>
  <si>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</si>
  <si>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</si>
  <si>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</si>
  <si>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</si>
  <si>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</si>
  <si>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</si>
  <si>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</si>
  <si>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</si>
  <si>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</si>
  <si>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</si>
  <si>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</si>
  <si>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</si>
  <si>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</si>
  <si>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</si>
  <si>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</si>
  <si>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</si>
  <si>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</si>
  <si>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</si>
  <si>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</si>
  <si>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</si>
  <si>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</si>
  <si>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</si>
  <si>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</si>
  <si>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</si>
  <si>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</si>
  <si>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</si>
  <si>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</si>
  <si>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</si>
  <si>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</si>
  <si>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</si>
  <si>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</si>
  <si>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</si>
  <si>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</si>
  <si>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</si>
  <si>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</si>
  <si>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</si>
  <si>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</si>
  <si>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</si>
  <si>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</si>
  <si>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</si>
  <si>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</si>
  <si>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</si>
  <si>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</si>
  <si>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</si>
  <si>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</si>
  <si>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</si>
  <si>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</si>
  <si>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</si>
  <si>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>LA 31,07,2022</t>
  </si>
  <si>
    <t>Sume alocate de casa de asigurari  de  sanatate luna curenta - IULIE 2022</t>
  </si>
  <si>
    <t>Sume alocate de casa de asigurari  de  sanatate cumulat - la data de 31,07,2022</t>
  </si>
  <si>
    <t>CASA DE ASIGURARI DE SANATATE BACAU</t>
  </si>
  <si>
    <t>LA 31 IULIE 2022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</si>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</sst>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165" fontId="3" fillId="3" borderId="1" xfId="1" applyNumberFormat="1" applyFont="1" applyFill="1" applyBorder="1" applyAlignment="1">
      <alignment horizontal="right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83"/>
  <sheetViews>
    <sheetView tabSelected="1" zoomScaleNormal="100" zoomScaleSheetLayoutView="100" workbookViewId="0">
      <pane xSplit="1" ySplit="8" topLeftCell="B135" activePane="bottomRight" state="frozen"/>
      <selection activeCell="A38" sqref="A38"/>
      <selection pane="topRight" activeCell="A38" sqref="A38"/>
      <selection pane="bottomLeft" activeCell="A38" sqref="A38"/>
      <selection pane="bottomRight" activeCell="E144" sqref="E144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162</v>
      </c>
      <c r="B1" s="38"/>
    </row>
    <row r="2" spans="1:9" x14ac:dyDescent="0.2">
      <c r="B2" s="39"/>
      <c r="C2" s="40"/>
    </row>
    <row r="3" spans="1:9" ht="16.5" x14ac:dyDescent="0.2">
      <c r="A3" s="86" t="s">
        <v>152</v>
      </c>
      <c r="B3" s="86"/>
      <c r="C3" s="86"/>
      <c r="D3" s="86"/>
      <c r="E3" s="86"/>
      <c r="F3" s="86"/>
      <c r="G3" s="86"/>
      <c r="H3" s="86"/>
      <c r="I3" s="86"/>
    </row>
    <row r="4" spans="1:9" ht="16.5" x14ac:dyDescent="0.25">
      <c r="A4" s="87" t="s">
        <v>163</v>
      </c>
      <c r="B4" s="87"/>
      <c r="C4" s="87"/>
      <c r="D4" s="87"/>
      <c r="E4" s="87"/>
      <c r="F4" s="87"/>
      <c r="G4" s="87"/>
      <c r="H4" s="87"/>
      <c r="I4" s="87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88" t="s">
        <v>114</v>
      </c>
      <c r="B7" s="89" t="s">
        <v>142</v>
      </c>
      <c r="C7" s="89" t="s">
        <v>156</v>
      </c>
      <c r="D7" s="90" t="s">
        <v>160</v>
      </c>
      <c r="E7" s="89"/>
      <c r="F7" s="89"/>
      <c r="G7" s="90" t="s">
        <v>161</v>
      </c>
      <c r="H7" s="89"/>
      <c r="I7" s="89"/>
    </row>
    <row r="8" spans="1:9" s="44" customFormat="1" ht="46.5" customHeight="1" x14ac:dyDescent="0.15">
      <c r="A8" s="88"/>
      <c r="B8" s="89"/>
      <c r="C8" s="89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26591.8</v>
      </c>
      <c r="C10" s="8">
        <f t="shared" ref="C10:I10" si="0">+C11+C12+C13+C14+C15+C16</f>
        <v>23637.78</v>
      </c>
      <c r="D10" s="8">
        <f>+E10+F10</f>
        <v>3539.4409999999998</v>
      </c>
      <c r="E10" s="8">
        <f t="shared" si="0"/>
        <v>940.18200000000002</v>
      </c>
      <c r="F10" s="8">
        <f t="shared" si="0"/>
        <v>2599.259</v>
      </c>
      <c r="G10" s="8">
        <f>+H10+I10</f>
        <v>20869.151000000002</v>
      </c>
      <c r="H10" s="8">
        <f t="shared" si="0"/>
        <v>10373.877</v>
      </c>
      <c r="I10" s="8">
        <f t="shared" si="0"/>
        <v>10495.274000000001</v>
      </c>
    </row>
    <row r="11" spans="1:9" x14ac:dyDescent="0.2">
      <c r="A11" s="49" t="s">
        <v>2</v>
      </c>
      <c r="B11" s="6">
        <f>+'executie PNS activitate curenta'!B11+'executie PNS Ucraina'!B11</f>
        <v>21914.799999999999</v>
      </c>
      <c r="C11" s="6">
        <f>+'executie PNS activitate curenta'!C11+'executie PNS Ucraina'!C11</f>
        <v>19254.78</v>
      </c>
      <c r="D11" s="8">
        <f t="shared" ref="D11:D80" si="1">+E11+F11</f>
        <v>3539.4409999999998</v>
      </c>
      <c r="E11" s="6">
        <f>+'executie PNS activitate curenta'!E11+'executie PNS Ucraina'!E11</f>
        <v>940.18200000000002</v>
      </c>
      <c r="F11" s="6">
        <f>+'executie PNS activitate curenta'!F11+'executie PNS Ucraina'!F11</f>
        <v>2599.259</v>
      </c>
      <c r="G11" s="8">
        <f t="shared" ref="G11:G80" si="2">+H11+I11</f>
        <v>18016.351000000002</v>
      </c>
      <c r="H11" s="6">
        <f>+'executie PNS activitate curenta'!H11+'executie PNS Ucraina'!H11</f>
        <v>7521.0770000000002</v>
      </c>
      <c r="I11" s="6">
        <f>+'executie PNS activitate curenta'!I11+'executie PNS Ucraina'!I11</f>
        <v>10495.274000000001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4677</v>
      </c>
      <c r="C15" s="6">
        <f>+'executie PNS activitate curenta'!C15+'executie PNS Ucraina'!C15</f>
        <v>4383</v>
      </c>
      <c r="D15" s="8">
        <f t="shared" si="1"/>
        <v>0</v>
      </c>
      <c r="E15" s="6">
        <f>+'executie PNS activitate curenta'!E15+'executie PNS Ucraina'!E15</f>
        <v>0</v>
      </c>
      <c r="F15" s="6">
        <f>+'executie PNS activitate curenta'!F15+'executie PNS Ucraina'!F15</f>
        <v>0</v>
      </c>
      <c r="G15" s="8">
        <f t="shared" si="2"/>
        <v>2852.8</v>
      </c>
      <c r="H15" s="6">
        <f>+'executie PNS activitate curenta'!H15+'executie PNS Ucraina'!H15</f>
        <v>2852.8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35845.74</v>
      </c>
      <c r="C17" s="8">
        <f t="shared" ref="C17:I17" si="3">+C18+C19+C23+C22</f>
        <v>32406.78</v>
      </c>
      <c r="D17" s="8">
        <f t="shared" si="1"/>
        <v>3448.933</v>
      </c>
      <c r="E17" s="8">
        <f t="shared" si="3"/>
        <v>17.527000000000001</v>
      </c>
      <c r="F17" s="8">
        <f t="shared" si="3"/>
        <v>3431.4059999999999</v>
      </c>
      <c r="G17" s="8">
        <f t="shared" si="2"/>
        <v>27949.566000000003</v>
      </c>
      <c r="H17" s="8">
        <f t="shared" si="3"/>
        <v>985.43700000000001</v>
      </c>
      <c r="I17" s="8">
        <f t="shared" si="3"/>
        <v>26964.129000000001</v>
      </c>
    </row>
    <row r="18" spans="1:9" x14ac:dyDescent="0.2">
      <c r="A18" s="50" t="s">
        <v>9</v>
      </c>
      <c r="B18" s="6">
        <f>+'executie PNS activitate curenta'!B18+'executie PNS Ucraina'!B18</f>
        <v>32431.38</v>
      </c>
      <c r="C18" s="6">
        <f>+'executie PNS activitate curenta'!C18+'executie PNS Ucraina'!C18</f>
        <v>29045.89</v>
      </c>
      <c r="D18" s="8">
        <f t="shared" si="1"/>
        <v>3242.9459999999999</v>
      </c>
      <c r="E18" s="6">
        <f>+'executie PNS activitate curenta'!E18+'executie PNS Ucraina'!E18</f>
        <v>0</v>
      </c>
      <c r="F18" s="6">
        <f>+'executie PNS activitate curenta'!F18+'executie PNS Ucraina'!F18</f>
        <v>3242.9459999999999</v>
      </c>
      <c r="G18" s="8">
        <f t="shared" si="2"/>
        <v>25498.365000000002</v>
      </c>
      <c r="H18" s="6">
        <f>+'executie PNS activitate curenta'!H18+'executie PNS Ucraina'!H18</f>
        <v>6.5960000000000001</v>
      </c>
      <c r="I18" s="6">
        <f>+'executie PNS activitate curenta'!I18+'executie PNS Ucraina'!I18</f>
        <v>25491.769</v>
      </c>
    </row>
    <row r="19" spans="1:9" x14ac:dyDescent="0.2">
      <c r="A19" s="51" t="s">
        <v>10</v>
      </c>
      <c r="B19" s="6">
        <f>+'executie PNS activitate curenta'!B19+'executie PNS Ucraina'!B19</f>
        <v>1894.34</v>
      </c>
      <c r="C19" s="6">
        <f>+'executie PNS activitate curenta'!C19+'executie PNS Ucraina'!C19</f>
        <v>1894.34</v>
      </c>
      <c r="D19" s="8">
        <f t="shared" si="1"/>
        <v>188.46</v>
      </c>
      <c r="E19" s="6">
        <f>+E20+E21</f>
        <v>0</v>
      </c>
      <c r="F19" s="6">
        <f>+F20+F21</f>
        <v>188.46</v>
      </c>
      <c r="G19" s="8">
        <f t="shared" si="2"/>
        <v>1472.3600000000001</v>
      </c>
      <c r="H19" s="6">
        <f t="shared" ref="H19:I19" si="4">+H20+H21</f>
        <v>0</v>
      </c>
      <c r="I19" s="6">
        <f t="shared" si="4"/>
        <v>1472.3600000000001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7.56</v>
      </c>
      <c r="E20" s="6">
        <f>+'executie PNS activitate curenta'!E20+'executie PNS Ucraina'!E20</f>
        <v>0</v>
      </c>
      <c r="F20" s="6">
        <f>+'executie PNS activitate curenta'!F20+'executie PNS Ucraina'!F20</f>
        <v>7.56</v>
      </c>
      <c r="G20" s="8">
        <f t="shared" si="2"/>
        <v>51.96</v>
      </c>
      <c r="H20" s="6">
        <f>+'executie PNS activitate curenta'!H20+'executie PNS Ucraina'!H20</f>
        <v>0</v>
      </c>
      <c r="I20" s="6">
        <f>+'executie PNS activitate curenta'!I20+'executie PNS Ucraina'!I20</f>
        <v>51.96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180.9</v>
      </c>
      <c r="E21" s="6">
        <f>+'executie PNS activitate curenta'!E21+'executie PNS Ucraina'!E21</f>
        <v>0</v>
      </c>
      <c r="F21" s="6">
        <f>+'executie PNS activitate curenta'!F21+'executie PNS Ucraina'!F21</f>
        <v>180.9</v>
      </c>
      <c r="G21" s="8">
        <f t="shared" si="2"/>
        <v>1420.4</v>
      </c>
      <c r="H21" s="6">
        <f>+'executie PNS activitate curenta'!H21+'executie PNS Ucraina'!H21</f>
        <v>0</v>
      </c>
      <c r="I21" s="6">
        <f>+'executie PNS activitate curenta'!I21+'executie PNS Ucraina'!I21</f>
        <v>1420.4</v>
      </c>
    </row>
    <row r="22" spans="1:9" ht="25.5" x14ac:dyDescent="0.2">
      <c r="A22" s="52" t="s">
        <v>11</v>
      </c>
      <c r="B22" s="6">
        <f>+'executie PNS activitate curenta'!B22+'executie PNS Ucraina'!B22</f>
        <v>26.6</v>
      </c>
      <c r="C22" s="6">
        <f>+'executie PNS activitate curenta'!C22+'executie PNS Ucraina'!C22</f>
        <v>26.6</v>
      </c>
      <c r="D22" s="8">
        <f t="shared" si="1"/>
        <v>0</v>
      </c>
      <c r="E22" s="6">
        <f>+'executie PNS activitate curenta'!E22+'executie PNS Ucraina'!E22</f>
        <v>0</v>
      </c>
      <c r="F22" s="6">
        <f>+'executie PNS activitate curenta'!F22+'executie PNS Ucraina'!F22</f>
        <v>0</v>
      </c>
      <c r="G22" s="8">
        <f t="shared" si="2"/>
        <v>26.164000000000001</v>
      </c>
      <c r="H22" s="6">
        <f>+'executie PNS activitate curenta'!H22+'executie PNS Ucraina'!H22</f>
        <v>26.164000000000001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1493.42</v>
      </c>
      <c r="C23" s="6">
        <f>+'executie PNS activitate curenta'!C23+'executie PNS Ucraina'!C23</f>
        <v>1439.95</v>
      </c>
      <c r="D23" s="8">
        <f t="shared" si="1"/>
        <v>17.527000000000001</v>
      </c>
      <c r="E23" s="53">
        <f t="shared" ref="E23:I23" si="5">+E24+E25+E26+E27+E28+E29</f>
        <v>17.527000000000001</v>
      </c>
      <c r="F23" s="53">
        <f t="shared" si="5"/>
        <v>0</v>
      </c>
      <c r="G23" s="8">
        <f t="shared" si="2"/>
        <v>952.67700000000002</v>
      </c>
      <c r="H23" s="53">
        <f t="shared" si="5"/>
        <v>952.67700000000002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17.527000000000001</v>
      </c>
      <c r="E25" s="6">
        <f>+'executie PNS activitate curenta'!E25+'executie PNS Ucraina'!E25</f>
        <v>17.527000000000001</v>
      </c>
      <c r="F25" s="6">
        <f>+'executie PNS activitate curenta'!F25+'executie PNS Ucraina'!F25</f>
        <v>0</v>
      </c>
      <c r="G25" s="8">
        <f t="shared" si="2"/>
        <v>952.67700000000002</v>
      </c>
      <c r="H25" s="6">
        <f>+'executie PNS activitate curenta'!H25+'executie PNS Ucraina'!H25</f>
        <v>952.67700000000002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782.48</v>
      </c>
      <c r="C30" s="8">
        <f t="shared" ref="C30:I30" si="6">+C31+C32</f>
        <v>767.05</v>
      </c>
      <c r="D30" s="8">
        <f t="shared" si="1"/>
        <v>87.5</v>
      </c>
      <c r="E30" s="8">
        <f t="shared" si="6"/>
        <v>0</v>
      </c>
      <c r="F30" s="8">
        <f t="shared" si="6"/>
        <v>87.5</v>
      </c>
      <c r="G30" s="8">
        <f t="shared" si="2"/>
        <v>580.1</v>
      </c>
      <c r="H30" s="8">
        <f t="shared" si="6"/>
        <v>0</v>
      </c>
      <c r="I30" s="8">
        <f t="shared" si="6"/>
        <v>580.1</v>
      </c>
    </row>
    <row r="31" spans="1:9" x14ac:dyDescent="0.2">
      <c r="A31" s="9" t="s">
        <v>19</v>
      </c>
      <c r="B31" s="6">
        <f>+'executie PNS activitate curenta'!B31+'executie PNS Ucraina'!B31</f>
        <v>782.48</v>
      </c>
      <c r="C31" s="6">
        <f>+'executie PNS activitate curenta'!C31+'executie PNS Ucraina'!C31</f>
        <v>767.05</v>
      </c>
      <c r="D31" s="8">
        <f t="shared" si="1"/>
        <v>87.5</v>
      </c>
      <c r="E31" s="6">
        <f>+'executie PNS activitate curenta'!E31+'executie PNS Ucraina'!E31</f>
        <v>0</v>
      </c>
      <c r="F31" s="6">
        <f>+'executie PNS activitate curenta'!F31+'executie PNS Ucraina'!F31</f>
        <v>87.5</v>
      </c>
      <c r="G31" s="8">
        <f t="shared" si="2"/>
        <v>580.1</v>
      </c>
      <c r="H31" s="6">
        <f>+'executie PNS activitate curenta'!H31+'executie PNS Ucraina'!H31</f>
        <v>0</v>
      </c>
      <c r="I31" s="6">
        <f>+'executie PNS activitate curenta'!I31+'executie PNS Ucraina'!I31</f>
        <v>580.1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2707.76</v>
      </c>
      <c r="C33" s="8">
        <f t="shared" si="7"/>
        <v>2321.5700000000002</v>
      </c>
      <c r="D33" s="8">
        <f t="shared" si="1"/>
        <v>281.84599999999995</v>
      </c>
      <c r="E33" s="8">
        <f t="shared" si="7"/>
        <v>59.387999999999998</v>
      </c>
      <c r="F33" s="8">
        <f t="shared" si="7"/>
        <v>222.45799999999997</v>
      </c>
      <c r="G33" s="8">
        <f t="shared" si="2"/>
        <v>1830.309</v>
      </c>
      <c r="H33" s="8">
        <f t="shared" si="7"/>
        <v>390.73999999999995</v>
      </c>
      <c r="I33" s="8">
        <f t="shared" si="7"/>
        <v>1439.569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2707.76</v>
      </c>
      <c r="C37" s="6">
        <f>+'executie PNS activitate curenta'!C37+'executie PNS Ucraina'!C37</f>
        <v>2321.5700000000002</v>
      </c>
      <c r="D37" s="8">
        <f t="shared" si="1"/>
        <v>281.84599999999995</v>
      </c>
      <c r="E37" s="53">
        <f>+E38+E39+E40+E41+E42+E43+E44+E45+E46+E47+E48+E49+E50+E51+E52+E53+E54+E55+E56+E57+E58+E59+E60+E61+E62+E63+E64+E65+E66+E67+E68+E69</f>
        <v>59.387999999999998</v>
      </c>
      <c r="F37" s="53">
        <f>+F38+F39+F40+F41+F42+F43+F44+F45+F46+F47+F48+F49+F50+F51+F52+F53+F54+F55+F56+F57+F58+F59+F60+F61+F62+F63+F64+F65+F66+F67+F68+F69</f>
        <v>222.45799999999997</v>
      </c>
      <c r="G37" s="8">
        <f t="shared" si="2"/>
        <v>1830.309</v>
      </c>
      <c r="H37" s="53">
        <f>+H38+H39+H40+H41+H42+H43+H44+H45+H46+H47+H48+H49+H50+H51+H52+H53+H54+H55+H56+H57+H58+H59+H60+H61+H62+H63+H64+H65+H66+H67+H68+H69</f>
        <v>390.73999999999995</v>
      </c>
      <c r="I37" s="53">
        <f>+I38+I39+I40+I41+I42+I43+I44+I45+I46+I47+I48+I49+I50+I51+I52+I53+I54+I55+I56+I57+I58+I59+I60+I61+I62+I63+I64+I65+I66+I67+I68+I69</f>
        <v>1439.569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5.2619999999999996</v>
      </c>
      <c r="E40" s="6">
        <f>+'executie PNS activitate curenta'!E40+'executie PNS Ucraina'!E40</f>
        <v>0</v>
      </c>
      <c r="F40" s="6">
        <f>+'executie PNS activitate curenta'!F40+'executie PNS Ucraina'!F40</f>
        <v>5.2619999999999996</v>
      </c>
      <c r="G40" s="8">
        <f t="shared" si="2"/>
        <v>35.972999999999999</v>
      </c>
      <c r="H40" s="6">
        <f>+'executie PNS activitate curenta'!H40+'executie PNS Ucraina'!H40</f>
        <v>0</v>
      </c>
      <c r="I40" s="6">
        <f>+'executie PNS activitate curenta'!I40+'executie PNS Ucraina'!I40</f>
        <v>35.972999999999999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59.387999999999998</v>
      </c>
      <c r="E43" s="6">
        <f>+'executie PNS activitate curenta'!E43+'executie PNS Ucraina'!E43</f>
        <v>59.387999999999998</v>
      </c>
      <c r="F43" s="6">
        <f>+'executie PNS activitate curenta'!F43+'executie PNS Ucraina'!F43</f>
        <v>0</v>
      </c>
      <c r="G43" s="8">
        <f t="shared" si="2"/>
        <v>390.73999999999995</v>
      </c>
      <c r="H43" s="6">
        <f>+'executie PNS activitate curenta'!H43+'executie PNS Ucraina'!H43</f>
        <v>390.73999999999995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2.931</v>
      </c>
      <c r="E49" s="6">
        <f>+'executie PNS activitate curenta'!E49+'executie PNS Ucraina'!E49</f>
        <v>0</v>
      </c>
      <c r="F49" s="6">
        <f>+'executie PNS activitate curenta'!F49+'executie PNS Ucraina'!F49</f>
        <v>2.931</v>
      </c>
      <c r="G49" s="8">
        <f t="shared" si="2"/>
        <v>80.441999999999993</v>
      </c>
      <c r="H49" s="6">
        <f>+'executie PNS activitate curenta'!H49+'executie PNS Ucraina'!H49</f>
        <v>0</v>
      </c>
      <c r="I49" s="6">
        <f>+'executie PNS activitate curenta'!I49+'executie PNS Ucraina'!I49</f>
        <v>80.441999999999993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24.713000000000001</v>
      </c>
      <c r="E50" s="6">
        <f>+'executie PNS activitate curenta'!E50+'executie PNS Ucraina'!E50</f>
        <v>0</v>
      </c>
      <c r="F50" s="6">
        <f>+'executie PNS activitate curenta'!F50+'executie PNS Ucraina'!F50</f>
        <v>24.713000000000001</v>
      </c>
      <c r="G50" s="8">
        <f t="shared" si="2"/>
        <v>172.08500000000001</v>
      </c>
      <c r="H50" s="6">
        <f>+'executie PNS activitate curenta'!H50+'executie PNS Ucraina'!H50</f>
        <v>0</v>
      </c>
      <c r="I50" s="6">
        <f>+'executie PNS activitate curenta'!I50+'executie PNS Ucraina'!I50</f>
        <v>172.08500000000001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150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151</v>
      </c>
      <c r="B57" s="7" t="s">
        <v>121</v>
      </c>
      <c r="C57" s="7" t="s">
        <v>121</v>
      </c>
      <c r="D57" s="8">
        <f t="shared" si="1"/>
        <v>0</v>
      </c>
      <c r="E57" s="6">
        <f>+'executie PNS activitate curenta'!E57+'executie PNS Ucraina'!E57</f>
        <v>0</v>
      </c>
      <c r="F57" s="6">
        <f>+'executie PNS activitate curenta'!F57+'executie PNS Ucraina'!F57</f>
        <v>0</v>
      </c>
      <c r="G57" s="8">
        <f t="shared" si="2"/>
        <v>0</v>
      </c>
      <c r="H57" s="6">
        <f>+'executie PNS activitate curenta'!H57+'executie PNS Ucraina'!H57</f>
        <v>0</v>
      </c>
      <c r="I57" s="6">
        <f>+'executie PNS activitate curenta'!I57+'executie PNS Ucraina'!I57</f>
        <v>0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79.364999999999995</v>
      </c>
      <c r="E59" s="6">
        <f>+'executie PNS activitate curenta'!E59+'executie PNS Ucraina'!E59</f>
        <v>0</v>
      </c>
      <c r="F59" s="6">
        <f>+'executie PNS activitate curenta'!F59+'executie PNS Ucraina'!F59</f>
        <v>79.364999999999995</v>
      </c>
      <c r="G59" s="8">
        <f t="shared" si="2"/>
        <v>416.80799999999999</v>
      </c>
      <c r="H59" s="6">
        <f>+'executie PNS activitate curenta'!H59+'executie PNS Ucraina'!H59</f>
        <v>0</v>
      </c>
      <c r="I59" s="6">
        <f>+'executie PNS activitate curenta'!I59+'executie PNS Ucraina'!I59</f>
        <v>416.80799999999999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110.187</v>
      </c>
      <c r="E61" s="6">
        <f>+'executie PNS activitate curenta'!E61+'executie PNS Ucraina'!E61</f>
        <v>0</v>
      </c>
      <c r="F61" s="6">
        <f>+'executie PNS activitate curenta'!F61+'executie PNS Ucraina'!F61</f>
        <v>110.187</v>
      </c>
      <c r="G61" s="8">
        <f t="shared" si="2"/>
        <v>734.26099999999997</v>
      </c>
      <c r="H61" s="6">
        <f>+'executie PNS activitate curenta'!H61+'executie PNS Ucraina'!H61</f>
        <v>0</v>
      </c>
      <c r="I61" s="6">
        <f>+'executie PNS activitate curenta'!I61+'executie PNS Ucraina'!I61</f>
        <v>734.26099999999997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148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149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973.72</v>
      </c>
      <c r="C71" s="6">
        <f>+'executie PNS activitate curenta'!C71+'executie PNS Ucraina'!C71</f>
        <v>932.22</v>
      </c>
      <c r="D71" s="8">
        <f t="shared" si="1"/>
        <v>79.074000000000012</v>
      </c>
      <c r="E71" s="8">
        <f>+E72+E76+E80+E81+E84+E82+E83</f>
        <v>0</v>
      </c>
      <c r="F71" s="8">
        <f>+F72+F76+F80+F81+F84+F82+F83</f>
        <v>79.074000000000012</v>
      </c>
      <c r="G71" s="8">
        <f t="shared" si="2"/>
        <v>715.49400000000003</v>
      </c>
      <c r="H71" s="8">
        <f>+H72+H76+H80+H81+H84+H82+H83</f>
        <v>715.49400000000003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67.440000000000012</v>
      </c>
      <c r="E72" s="53">
        <f t="shared" ref="E72:I72" si="9">+E73+E74+E75</f>
        <v>0</v>
      </c>
      <c r="F72" s="53">
        <f t="shared" si="9"/>
        <v>67.440000000000012</v>
      </c>
      <c r="G72" s="8">
        <f t="shared" si="2"/>
        <v>555.09400000000005</v>
      </c>
      <c r="H72" s="53">
        <f t="shared" si="9"/>
        <v>555.09400000000005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66.296000000000006</v>
      </c>
      <c r="E73" s="6">
        <f>+'executie PNS activitate curenta'!E73+'executie PNS Ucraina'!E73</f>
        <v>0</v>
      </c>
      <c r="F73" s="6">
        <f>+'executie PNS activitate curenta'!F73+'executie PNS Ucraina'!F73</f>
        <v>66.296000000000006</v>
      </c>
      <c r="G73" s="8">
        <f t="shared" si="2"/>
        <v>429.64100000000002</v>
      </c>
      <c r="H73" s="6">
        <f>+'executie PNS activitate curenta'!H73+'executie PNS Ucraina'!H73</f>
        <v>429.64100000000002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1.1439999999999999</v>
      </c>
      <c r="E75" s="6">
        <f>+'executie PNS activitate curenta'!E75+'executie PNS Ucraina'!E75</f>
        <v>0</v>
      </c>
      <c r="F75" s="6">
        <f>+'executie PNS activitate curenta'!F75+'executie PNS Ucraina'!F75</f>
        <v>1.1439999999999999</v>
      </c>
      <c r="G75" s="8">
        <f t="shared" si="2"/>
        <v>125.453</v>
      </c>
      <c r="H75" s="6">
        <f>+'executie PNS activitate curenta'!H75+'executie PNS Ucraina'!H75</f>
        <v>125.453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11.634</v>
      </c>
      <c r="E76" s="53">
        <f t="shared" ref="E76:I76" si="10">+E77+E78+E79</f>
        <v>0</v>
      </c>
      <c r="F76" s="53">
        <f t="shared" si="10"/>
        <v>11.634</v>
      </c>
      <c r="G76" s="8">
        <f t="shared" si="2"/>
        <v>160.4</v>
      </c>
      <c r="H76" s="53">
        <f t="shared" si="10"/>
        <v>160.4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39.847999999999999</v>
      </c>
      <c r="H77" s="6">
        <f>+'executie PNS activitate curenta'!H77+'executie PNS Ucraina'!H77</f>
        <v>39.847999999999999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11.634</v>
      </c>
      <c r="E79" s="6">
        <f>+'executie PNS activitate curenta'!E79+'executie PNS Ucraina'!E79</f>
        <v>0</v>
      </c>
      <c r="F79" s="6">
        <f>+'executie PNS activitate curenta'!F79+'executie PNS Ucraina'!F79</f>
        <v>11.634</v>
      </c>
      <c r="G79" s="8">
        <f t="shared" si="2"/>
        <v>120.55200000000001</v>
      </c>
      <c r="H79" s="6">
        <f>+'executie PNS activitate curenta'!H79+'executie PNS Ucraina'!H79</f>
        <v>120.55200000000001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146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147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28.96</v>
      </c>
      <c r="C90" s="6">
        <f>+'executie PNS activitate curenta'!C90+'executie PNS Ucraina'!C90</f>
        <v>28.96</v>
      </c>
      <c r="D90" s="8">
        <f t="shared" si="13"/>
        <v>0</v>
      </c>
      <c r="E90" s="8">
        <f t="shared" ref="E90:I90" si="16">+E91+E92+E93</f>
        <v>0</v>
      </c>
      <c r="F90" s="8">
        <f t="shared" si="16"/>
        <v>0</v>
      </c>
      <c r="G90" s="8">
        <f t="shared" si="15"/>
        <v>22.71</v>
      </c>
      <c r="H90" s="8">
        <f t="shared" si="16"/>
        <v>22.71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0</v>
      </c>
      <c r="E91" s="6">
        <f>+'executie PNS activitate curenta'!E91+'executie PNS Ucraina'!E91</f>
        <v>0</v>
      </c>
      <c r="F91" s="6">
        <f>+'executie PNS activitate curenta'!F91+'executie PNS Ucraina'!F91</f>
        <v>0</v>
      </c>
      <c r="G91" s="8">
        <f t="shared" si="15"/>
        <v>22.71</v>
      </c>
      <c r="H91" s="6">
        <f>+'executie PNS activitate curenta'!H91+'executie PNS Ucraina'!H91</f>
        <v>22.71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5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891.44</v>
      </c>
      <c r="C94" s="6">
        <f>+'executie PNS activitate curenta'!C94+'executie PNS Ucraina'!C94</f>
        <v>891.44</v>
      </c>
      <c r="D94" s="8">
        <f t="shared" si="13"/>
        <v>128.369</v>
      </c>
      <c r="E94" s="8">
        <f>+E95+E96+E97+E98+E99+E100+E101+E102+E103+E104</f>
        <v>0</v>
      </c>
      <c r="F94" s="8">
        <f>+F95+F96+F97+F98+F99+F100+F101+F102+F103+F104</f>
        <v>128.369</v>
      </c>
      <c r="G94" s="8">
        <f t="shared" si="15"/>
        <v>632.75900000000001</v>
      </c>
      <c r="H94" s="8">
        <f>+H95+H96+H97+H98+H99+H100+H101+H102+H103+H104</f>
        <v>632.75900000000001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128.369</v>
      </c>
      <c r="E99" s="6">
        <f>+'executie PNS activitate curenta'!E99+'executie PNS Ucraina'!E99</f>
        <v>0</v>
      </c>
      <c r="F99" s="6">
        <f>+'executie PNS activitate curenta'!F99+'executie PNS Ucraina'!F99</f>
        <v>128.369</v>
      </c>
      <c r="G99" s="8">
        <f t="shared" si="15"/>
        <v>632.75900000000001</v>
      </c>
      <c r="H99" s="6">
        <f>+'executie PNS activitate curenta'!H99+'executie PNS Ucraina'!H99</f>
        <v>632.75900000000001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145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27828</v>
      </c>
      <c r="C144" s="6">
        <f>+'executie PNS activitate curenta'!C144+'executie PNS Ucraina'!C144</f>
        <v>26610.25</v>
      </c>
      <c r="D144" s="8">
        <f t="shared" si="13"/>
        <v>0</v>
      </c>
      <c r="E144" s="6">
        <f>+'executie PNS activitate curenta'!E144+'executie PNS Ucraina'!E144</f>
        <v>0</v>
      </c>
      <c r="F144" s="6">
        <f>+'executie PNS activitate curenta'!F144+'executie PNS Ucraina'!F144</f>
        <v>0</v>
      </c>
      <c r="G144" s="8">
        <f t="shared" si="15"/>
        <v>19020.248</v>
      </c>
      <c r="H144" s="6">
        <f>+'executie PNS activitate curenta'!H144+'executie PNS Ucraina'!H144</f>
        <v>3758.5569999999998</v>
      </c>
      <c r="I144" s="6">
        <f>+'executie PNS activitate curenta'!I144+'executie PNS Ucraina'!I144</f>
        <v>15261.691000000001</v>
      </c>
    </row>
    <row r="145" spans="1:9" x14ac:dyDescent="0.2">
      <c r="A145" s="11" t="s">
        <v>143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9" x14ac:dyDescent="0.2">
      <c r="A146" s="12" t="s">
        <v>144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9" ht="27.75" x14ac:dyDescent="0.25">
      <c r="A147" s="13" t="s">
        <v>110</v>
      </c>
      <c r="B147" s="8">
        <f>+B148+B149+B152+B150+B151</f>
        <v>15812.7</v>
      </c>
      <c r="C147" s="8">
        <f t="shared" ref="C147:I147" si="25">+C148+C149+C152+C150+C151</f>
        <v>14374.94</v>
      </c>
      <c r="D147" s="8">
        <f t="shared" si="25"/>
        <v>2198.9679999999998</v>
      </c>
      <c r="E147" s="8">
        <f t="shared" si="25"/>
        <v>1760.6799999999998</v>
      </c>
      <c r="F147" s="8">
        <f t="shared" si="25"/>
        <v>438.28800000000001</v>
      </c>
      <c r="G147" s="8">
        <f t="shared" si="25"/>
        <v>12952.795</v>
      </c>
      <c r="H147" s="8">
        <f t="shared" si="25"/>
        <v>8433.7909999999993</v>
      </c>
      <c r="I147" s="8">
        <f t="shared" si="25"/>
        <v>4519.0039999999999</v>
      </c>
    </row>
    <row r="148" spans="1:9" x14ac:dyDescent="0.2">
      <c r="A148" s="14" t="s">
        <v>111</v>
      </c>
      <c r="B148" s="6">
        <f>+'executie PNS activitate curenta'!B148+'executie PNS Ucraina'!B148</f>
        <v>15584.7</v>
      </c>
      <c r="C148" s="6">
        <f>+'executie PNS activitate curenta'!C148+'executie PNS Ucraina'!C148</f>
        <v>14150.17</v>
      </c>
      <c r="D148" s="8">
        <f t="shared" si="13"/>
        <v>2143.3019999999997</v>
      </c>
      <c r="E148" s="6">
        <f>+'executie PNS activitate curenta'!E148+'executie PNS Ucraina'!E148</f>
        <v>1705.0139999999999</v>
      </c>
      <c r="F148" s="6">
        <f>+'executie PNS activitate curenta'!F148+'executie PNS Ucraina'!F148</f>
        <v>438.28800000000001</v>
      </c>
      <c r="G148" s="8">
        <f t="shared" si="15"/>
        <v>12841.463</v>
      </c>
      <c r="H148" s="6">
        <f>+'executie PNS activitate curenta'!H148+'executie PNS Ucraina'!H148</f>
        <v>8322.4589999999989</v>
      </c>
      <c r="I148" s="6">
        <f>+'executie PNS activitate curenta'!I148+'executie PNS Ucraina'!I148</f>
        <v>4519.0039999999999</v>
      </c>
    </row>
    <row r="149" spans="1:9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9" x14ac:dyDescent="0.2">
      <c r="A150" s="14" t="s">
        <v>141</v>
      </c>
      <c r="B150" s="6">
        <f>+'executie PNS activitate curenta'!B150+'executie PNS Ucraina'!B150</f>
        <v>228</v>
      </c>
      <c r="C150" s="6">
        <f>+'executie PNS activitate curenta'!C150+'executie PNS Ucraina'!C150</f>
        <v>224.77</v>
      </c>
      <c r="D150" s="8">
        <f t="shared" si="13"/>
        <v>55.665999999999997</v>
      </c>
      <c r="E150" s="6">
        <f>+'executie PNS activitate curenta'!E150+'executie PNS Ucraina'!E150</f>
        <v>55.665999999999997</v>
      </c>
      <c r="F150" s="6">
        <f>+'executie PNS activitate curenta'!F150+'executie PNS Ucraina'!F150</f>
        <v>0</v>
      </c>
      <c r="G150" s="8">
        <f t="shared" si="15"/>
        <v>111.33199999999999</v>
      </c>
      <c r="H150" s="6">
        <f>+'executie PNS activitate curenta'!H150+'executie PNS Ucraina'!H150</f>
        <v>111.33199999999999</v>
      </c>
      <c r="I150" s="6">
        <f>+'executie PNS activitate curenta'!I150+'executie PNS Ucraina'!I150</f>
        <v>0</v>
      </c>
    </row>
    <row r="151" spans="1:9" x14ac:dyDescent="0.2">
      <c r="A151" s="14" t="s">
        <v>140</v>
      </c>
      <c r="B151" s="6">
        <f>+'executie PNS activitate curenta'!B151+'executie PNS Ucraina'!B151</f>
        <v>0</v>
      </c>
      <c r="C151" s="6">
        <f>+'executie PNS activitate curenta'!C151+'executie PNS Ucraina'!C151</f>
        <v>0</v>
      </c>
      <c r="D151" s="8">
        <f t="shared" si="13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5"/>
        <v>0</v>
      </c>
      <c r="H151" s="6">
        <f>+'executie PNS activitate curenta'!H151+'executie PNS Ucraina'!H151</f>
        <v>0</v>
      </c>
      <c r="I151" s="6">
        <f>+'executie PNS activitate curenta'!I151+'executie PNS Ucraina'!I151</f>
        <v>0</v>
      </c>
    </row>
    <row r="152" spans="1:9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9" x14ac:dyDescent="0.2">
      <c r="A153" s="61" t="s">
        <v>109</v>
      </c>
      <c r="B153" s="8">
        <f t="shared" ref="B153:I153" si="26">+B10+B17+B30+B33+B70+B71+B85+B90+B94+B105+B106+B121+B124+B144+B145</f>
        <v>95649.900000000009</v>
      </c>
      <c r="C153" s="8">
        <f t="shared" si="26"/>
        <v>87596.05</v>
      </c>
      <c r="D153" s="8">
        <f t="shared" si="26"/>
        <v>7565.1629999999986</v>
      </c>
      <c r="E153" s="8">
        <f t="shared" si="26"/>
        <v>1017.0970000000001</v>
      </c>
      <c r="F153" s="8">
        <f t="shared" si="26"/>
        <v>6548.0659999999989</v>
      </c>
      <c r="G153" s="8">
        <f t="shared" si="26"/>
        <v>71620.337</v>
      </c>
      <c r="H153" s="8">
        <f t="shared" si="26"/>
        <v>16879.574000000001</v>
      </c>
      <c r="I153" s="8">
        <f t="shared" si="26"/>
        <v>54740.763000000006</v>
      </c>
    </row>
    <row r="154" spans="1:9" ht="12.75" customHeight="1" x14ac:dyDescent="0.2">
      <c r="A154" s="60" t="s">
        <v>112</v>
      </c>
      <c r="B154" s="8">
        <f t="shared" ref="B154:I154" si="27">B11+B18+B30+B37+B70+B71+B122+B90</f>
        <v>58839.100000000006</v>
      </c>
      <c r="C154" s="8">
        <f t="shared" si="27"/>
        <v>52350.47</v>
      </c>
      <c r="D154" s="8">
        <f t="shared" si="27"/>
        <v>7230.8069999999989</v>
      </c>
      <c r="E154" s="8">
        <f t="shared" si="27"/>
        <v>999.57</v>
      </c>
      <c r="F154" s="8">
        <f t="shared" si="27"/>
        <v>6231.2369999999992</v>
      </c>
      <c r="G154" s="8">
        <f t="shared" si="27"/>
        <v>46663.328999999998</v>
      </c>
      <c r="H154" s="8">
        <f t="shared" si="27"/>
        <v>8656.6169999999984</v>
      </c>
      <c r="I154" s="8">
        <f t="shared" si="27"/>
        <v>38006.712000000007</v>
      </c>
    </row>
    <row r="155" spans="1:9" x14ac:dyDescent="0.2">
      <c r="A155" s="60" t="s">
        <v>113</v>
      </c>
      <c r="B155" s="8">
        <f t="shared" ref="B155:I155" si="28">B13++B19+B23+B85+B94+B105+B106+B123+B124-B126+B34</f>
        <v>4279.2000000000007</v>
      </c>
      <c r="C155" s="8">
        <f t="shared" si="28"/>
        <v>4225.7299999999996</v>
      </c>
      <c r="D155" s="8">
        <f t="shared" si="28"/>
        <v>334.35599999999999</v>
      </c>
      <c r="E155" s="8">
        <f t="shared" si="28"/>
        <v>17.527000000000001</v>
      </c>
      <c r="F155" s="8">
        <f t="shared" si="28"/>
        <v>316.82900000000001</v>
      </c>
      <c r="G155" s="8">
        <f t="shared" si="28"/>
        <v>3057.7960000000003</v>
      </c>
      <c r="H155" s="8">
        <f t="shared" si="28"/>
        <v>1585.4360000000001</v>
      </c>
      <c r="I155" s="8">
        <f t="shared" si="28"/>
        <v>1472.3600000000001</v>
      </c>
    </row>
    <row r="156" spans="1:9" x14ac:dyDescent="0.2">
      <c r="A156" s="62"/>
      <c r="B156" s="63"/>
    </row>
    <row r="157" spans="1:9" x14ac:dyDescent="0.2">
      <c r="A157" s="64"/>
      <c r="B157" s="63"/>
    </row>
    <row r="158" spans="1:9" x14ac:dyDescent="0.2">
      <c r="A158" s="10" t="s">
        <v>157</v>
      </c>
      <c r="B158" s="63"/>
      <c r="F158" s="10" t="s">
        <v>158</v>
      </c>
      <c r="H158" s="10">
        <f>G154+G147</f>
        <v>59616.123999999996</v>
      </c>
    </row>
    <row r="159" spans="1:9" x14ac:dyDescent="0.2">
      <c r="A159" s="10" t="s">
        <v>164</v>
      </c>
      <c r="B159" s="65"/>
      <c r="F159" s="10" t="s">
        <v>165</v>
      </c>
    </row>
    <row r="160" spans="1:9" x14ac:dyDescent="0.2">
      <c r="B160" s="65"/>
    </row>
    <row r="161" spans="1:2" x14ac:dyDescent="0.2">
      <c r="B161" s="65"/>
    </row>
    <row r="162" spans="1:2" x14ac:dyDescent="0.2">
      <c r="A162" s="64"/>
      <c r="B162" s="63"/>
    </row>
    <row r="163" spans="1:2" x14ac:dyDescent="0.2">
      <c r="B163" s="65"/>
    </row>
    <row r="164" spans="1:2" x14ac:dyDescent="0.2">
      <c r="B164" s="65"/>
    </row>
    <row r="165" spans="1:2" x14ac:dyDescent="0.2">
      <c r="B165" s="63"/>
    </row>
    <row r="166" spans="1:2" x14ac:dyDescent="0.2">
      <c r="B166" s="65"/>
    </row>
    <row r="167" spans="1:2" x14ac:dyDescent="0.2">
      <c r="B167" s="65"/>
    </row>
    <row r="168" spans="1:2" x14ac:dyDescent="0.2">
      <c r="B168" s="65"/>
    </row>
    <row r="169" spans="1:2" x14ac:dyDescent="0.2">
      <c r="B169" s="65"/>
    </row>
    <row r="170" spans="1:2" x14ac:dyDescent="0.2">
      <c r="B170" s="65"/>
    </row>
    <row r="171" spans="1:2" x14ac:dyDescent="0.2">
      <c r="A171" s="64"/>
      <c r="B171" s="63"/>
    </row>
    <row r="173" spans="1:2" x14ac:dyDescent="0.2">
      <c r="A173" s="66"/>
      <c r="B173" s="63"/>
    </row>
    <row r="174" spans="1:2" x14ac:dyDescent="0.2">
      <c r="B174" s="65"/>
    </row>
    <row r="175" spans="1:2" x14ac:dyDescent="0.2">
      <c r="B175" s="65"/>
    </row>
    <row r="176" spans="1:2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zoomScaleNormal="100" workbookViewId="0">
      <pane xSplit="1" ySplit="8" topLeftCell="B135" activePane="bottomRight" state="frozen"/>
      <selection activeCell="A38" sqref="A38"/>
      <selection pane="topRight" activeCell="A38" sqref="A38"/>
      <selection pane="bottomLeft" activeCell="A38" sqref="A38"/>
      <selection pane="bottomRight" activeCell="H150" sqref="H150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162</v>
      </c>
      <c r="B1" s="68"/>
    </row>
    <row r="2" spans="1:9" x14ac:dyDescent="0.2">
      <c r="B2" s="70"/>
      <c r="C2" s="71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7" t="s">
        <v>159</v>
      </c>
      <c r="B4" s="87"/>
      <c r="C4" s="87"/>
      <c r="D4" s="87"/>
      <c r="E4" s="87"/>
      <c r="F4" s="87"/>
      <c r="G4" s="87"/>
      <c r="H4" s="87"/>
      <c r="I4" s="87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155</v>
      </c>
      <c r="D7" s="94" t="s">
        <v>160</v>
      </c>
      <c r="E7" s="95"/>
      <c r="F7" s="95"/>
      <c r="G7" s="94" t="s">
        <v>161</v>
      </c>
      <c r="H7" s="95"/>
      <c r="I7" s="95"/>
    </row>
    <row r="8" spans="1:9" s="17" customFormat="1" ht="46.5" customHeight="1" x14ac:dyDescent="0.15">
      <c r="A8" s="92"/>
      <c r="B8" s="93"/>
      <c r="C8" s="93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26591.8</v>
      </c>
      <c r="C10" s="76">
        <f t="shared" ref="C10:I10" si="0">+C11+C12+C13+C14+C15+C16</f>
        <v>23637.78</v>
      </c>
      <c r="D10" s="76">
        <f>+E10+F10</f>
        <v>3539.4409999999998</v>
      </c>
      <c r="E10" s="76">
        <f t="shared" si="0"/>
        <v>940.18200000000002</v>
      </c>
      <c r="F10" s="76">
        <f t="shared" si="0"/>
        <v>2599.259</v>
      </c>
      <c r="G10" s="76">
        <f>+H10+I10</f>
        <v>20869.151000000002</v>
      </c>
      <c r="H10" s="76">
        <f t="shared" si="0"/>
        <v>10373.877</v>
      </c>
      <c r="I10" s="76">
        <f t="shared" si="0"/>
        <v>10495.274000000001</v>
      </c>
    </row>
    <row r="11" spans="1:9" x14ac:dyDescent="0.2">
      <c r="A11" s="21" t="s">
        <v>2</v>
      </c>
      <c r="B11" s="76">
        <v>21914.799999999999</v>
      </c>
      <c r="C11" s="77">
        <v>19254.78</v>
      </c>
      <c r="D11" s="76">
        <f t="shared" ref="D11:D80" si="1">+E11+F11</f>
        <v>3539.4409999999998</v>
      </c>
      <c r="E11" s="77">
        <v>940.18200000000002</v>
      </c>
      <c r="F11" s="77">
        <v>2599.259</v>
      </c>
      <c r="G11" s="85">
        <f t="shared" ref="G11:G80" si="2">+H11+I11</f>
        <v>18016.351000000002</v>
      </c>
      <c r="H11" s="77">
        <f>6580.895+940.182</f>
        <v>7521.0770000000002</v>
      </c>
      <c r="I11" s="77">
        <f>7896.015+2599.259</f>
        <v>10495.274000000001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>
        <v>4677</v>
      </c>
      <c r="C15" s="77">
        <v>4383</v>
      </c>
      <c r="D15" s="76">
        <f t="shared" si="1"/>
        <v>0</v>
      </c>
      <c r="E15" s="77"/>
      <c r="F15" s="77"/>
      <c r="G15" s="76">
        <f t="shared" si="2"/>
        <v>2852.8</v>
      </c>
      <c r="H15" s="77">
        <v>2852.8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1" t="s">
        <v>8</v>
      </c>
      <c r="B17" s="76">
        <f>+B18+B19+B23+B22</f>
        <v>35843.539999999994</v>
      </c>
      <c r="C17" s="76">
        <f t="shared" ref="C17:I17" si="3">+C18+C19+C23+C22</f>
        <v>32404.579999999998</v>
      </c>
      <c r="D17" s="76">
        <f t="shared" si="1"/>
        <v>3447.6469999999999</v>
      </c>
      <c r="E17" s="76">
        <f t="shared" si="3"/>
        <v>17.527000000000001</v>
      </c>
      <c r="F17" s="76">
        <f t="shared" si="3"/>
        <v>3430.12</v>
      </c>
      <c r="G17" s="76">
        <f t="shared" si="2"/>
        <v>27947.371000000003</v>
      </c>
      <c r="H17" s="76">
        <f t="shared" si="3"/>
        <v>985.43700000000001</v>
      </c>
      <c r="I17" s="76">
        <f t="shared" si="3"/>
        <v>26961.934000000001</v>
      </c>
    </row>
    <row r="18" spans="1:9" x14ac:dyDescent="0.2">
      <c r="A18" s="22" t="s">
        <v>9</v>
      </c>
      <c r="B18" s="78">
        <v>32429.41</v>
      </c>
      <c r="C18" s="77">
        <v>29043.919999999998</v>
      </c>
      <c r="D18" s="76">
        <f t="shared" si="1"/>
        <v>3241.768</v>
      </c>
      <c r="E18" s="77"/>
      <c r="F18" s="77">
        <f>3241.57+0.198</f>
        <v>3241.768</v>
      </c>
      <c r="G18" s="76">
        <f t="shared" si="2"/>
        <v>25496.398000000001</v>
      </c>
      <c r="H18" s="77">
        <v>6.5960000000000001</v>
      </c>
      <c r="I18" s="77">
        <f>22248.034+3241.57+0.198</f>
        <v>25489.802</v>
      </c>
    </row>
    <row r="19" spans="1:9" x14ac:dyDescent="0.2">
      <c r="A19" s="23" t="s">
        <v>10</v>
      </c>
      <c r="B19" s="78">
        <v>1894.11</v>
      </c>
      <c r="C19" s="77">
        <v>1894.11</v>
      </c>
      <c r="D19" s="76">
        <f t="shared" si="1"/>
        <v>188.352</v>
      </c>
      <c r="E19" s="77">
        <f>+E20+E21</f>
        <v>0</v>
      </c>
      <c r="F19" s="77">
        <f>+F20+F21</f>
        <v>188.352</v>
      </c>
      <c r="G19" s="76">
        <f t="shared" si="2"/>
        <v>1472.1320000000001</v>
      </c>
      <c r="H19" s="77">
        <f t="shared" ref="H19:I19" si="4">+H20+H21</f>
        <v>0</v>
      </c>
      <c r="I19" s="77">
        <f t="shared" si="4"/>
        <v>1472.1320000000001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7.56</v>
      </c>
      <c r="E20" s="77"/>
      <c r="F20" s="77">
        <v>7.56</v>
      </c>
      <c r="G20" s="76">
        <f t="shared" si="2"/>
        <v>51.96</v>
      </c>
      <c r="H20" s="77"/>
      <c r="I20" s="77">
        <f>44.4+7.56</f>
        <v>51.96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180.792</v>
      </c>
      <c r="E21" s="77"/>
      <c r="F21" s="77">
        <v>180.792</v>
      </c>
      <c r="G21" s="76">
        <f t="shared" si="2"/>
        <v>1420.172</v>
      </c>
      <c r="H21" s="77"/>
      <c r="I21" s="77">
        <f>1239.38+180.792</f>
        <v>1420.172</v>
      </c>
    </row>
    <row r="22" spans="1:9" ht="25.5" x14ac:dyDescent="0.2">
      <c r="A22" s="24" t="s">
        <v>11</v>
      </c>
      <c r="B22" s="78">
        <v>26.6</v>
      </c>
      <c r="C22" s="77">
        <v>26.6</v>
      </c>
      <c r="D22" s="76">
        <f t="shared" si="1"/>
        <v>0</v>
      </c>
      <c r="E22" s="77"/>
      <c r="F22" s="77"/>
      <c r="G22" s="76">
        <f t="shared" si="2"/>
        <v>26.164000000000001</v>
      </c>
      <c r="H22" s="77">
        <v>26.164000000000001</v>
      </c>
      <c r="I22" s="77"/>
    </row>
    <row r="23" spans="1:9" ht="25.5" x14ac:dyDescent="0.2">
      <c r="A23" s="24" t="s">
        <v>120</v>
      </c>
      <c r="B23" s="78">
        <v>1493.42</v>
      </c>
      <c r="C23" s="78">
        <v>1439.95</v>
      </c>
      <c r="D23" s="76">
        <f t="shared" si="1"/>
        <v>17.527000000000001</v>
      </c>
      <c r="E23" s="78">
        <f t="shared" ref="E23:I23" si="5">+E24+E25+E26+E27+E28+E29</f>
        <v>17.527000000000001</v>
      </c>
      <c r="F23" s="78">
        <f t="shared" si="5"/>
        <v>0</v>
      </c>
      <c r="G23" s="85">
        <f t="shared" si="2"/>
        <v>952.67700000000002</v>
      </c>
      <c r="H23" s="78">
        <f t="shared" si="5"/>
        <v>952.67700000000002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17.527000000000001</v>
      </c>
      <c r="E25" s="77">
        <v>17.527000000000001</v>
      </c>
      <c r="F25" s="77"/>
      <c r="G25" s="76">
        <f t="shared" si="2"/>
        <v>952.67700000000002</v>
      </c>
      <c r="H25" s="77">
        <f>935.15+17.527</f>
        <v>952.67700000000002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782.48</v>
      </c>
      <c r="C30" s="76">
        <f t="shared" ref="C30:I30" si="6">+C31+C32</f>
        <v>767.05</v>
      </c>
      <c r="D30" s="76">
        <f t="shared" si="1"/>
        <v>87.5</v>
      </c>
      <c r="E30" s="76">
        <f t="shared" si="6"/>
        <v>0</v>
      </c>
      <c r="F30" s="76">
        <f t="shared" si="6"/>
        <v>87.5</v>
      </c>
      <c r="G30" s="85">
        <f t="shared" si="2"/>
        <v>580.1</v>
      </c>
      <c r="H30" s="76">
        <f t="shared" si="6"/>
        <v>0</v>
      </c>
      <c r="I30" s="76">
        <f t="shared" si="6"/>
        <v>580.1</v>
      </c>
    </row>
    <row r="31" spans="1:9" x14ac:dyDescent="0.2">
      <c r="A31" s="6" t="s">
        <v>19</v>
      </c>
      <c r="B31" s="78">
        <v>782.48</v>
      </c>
      <c r="C31" s="77">
        <v>767.05</v>
      </c>
      <c r="D31" s="76">
        <f t="shared" si="1"/>
        <v>87.5</v>
      </c>
      <c r="E31" s="77"/>
      <c r="F31" s="77">
        <v>87.5</v>
      </c>
      <c r="G31" s="76">
        <f t="shared" si="2"/>
        <v>580.1</v>
      </c>
      <c r="H31" s="77"/>
      <c r="I31" s="77">
        <f>492.6+87.5</f>
        <v>580.1</v>
      </c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2707.76</v>
      </c>
      <c r="C33" s="76">
        <f t="shared" si="7"/>
        <v>2321.5700000000002</v>
      </c>
      <c r="D33" s="76">
        <f t="shared" si="1"/>
        <v>281.84599999999995</v>
      </c>
      <c r="E33" s="76">
        <f t="shared" si="7"/>
        <v>59.387999999999998</v>
      </c>
      <c r="F33" s="76">
        <f t="shared" si="7"/>
        <v>222.45799999999997</v>
      </c>
      <c r="G33" s="76">
        <f t="shared" si="2"/>
        <v>1830.309</v>
      </c>
      <c r="H33" s="76">
        <f t="shared" si="7"/>
        <v>390.73999999999995</v>
      </c>
      <c r="I33" s="76">
        <f t="shared" si="7"/>
        <v>1439.569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2707.76</v>
      </c>
      <c r="C37" s="78">
        <v>2321.5700000000002</v>
      </c>
      <c r="D37" s="76">
        <f t="shared" si="1"/>
        <v>281.84599999999995</v>
      </c>
      <c r="E37" s="78">
        <f>+E38+E39+E40+E41+E42+E43+E44+E45+E46+E47+E48+E49+E50+E51+E52+E53+E54+E55+E56+E57+E58+E59+E60+E61+E62+E63+E64+E65+E66+E67+E68+E69</f>
        <v>59.387999999999998</v>
      </c>
      <c r="F37" s="78">
        <f>+F38+F39+F40+F41+F42+F43+F44+F45+F46+F47+F48+F49+F50+F51+F52+F53+F54+F55+F56+F57+F58+F59+F60+F61+F62+F63+F64+F65+F66+F67+F68+F69</f>
        <v>222.45799999999997</v>
      </c>
      <c r="G37" s="76">
        <f t="shared" si="2"/>
        <v>1830.309</v>
      </c>
      <c r="H37" s="78">
        <f>+H38+H39+H40+H41+H42+H43+H44+H45+H46+H47+H48+H49+H50+H51+H52+H53+H54+H55+H56+H57+H58+H59+H60+H61+H62+H63+H64+H65+H66+H67+H68+H69</f>
        <v>390.73999999999995</v>
      </c>
      <c r="I37" s="78">
        <f>+I38+I39+I40+I41+I42+I43+I44+I45+I46+I47+I48+I49+I50+I51+I52+I53+I54+I55+I56+I57+I58+I59+I60+I61+I62+I63+I64+I65+I66+I67+I68+I69</f>
        <v>1439.569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5.2619999999999996</v>
      </c>
      <c r="E40" s="77"/>
      <c r="F40" s="77">
        <v>5.2619999999999996</v>
      </c>
      <c r="G40" s="85">
        <f t="shared" si="2"/>
        <v>35.972999999999999</v>
      </c>
      <c r="H40" s="77"/>
      <c r="I40" s="77">
        <f>30.711+5.262</f>
        <v>35.972999999999999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59.387999999999998</v>
      </c>
      <c r="E43" s="77">
        <v>59.387999999999998</v>
      </c>
      <c r="F43" s="77"/>
      <c r="G43" s="85">
        <f t="shared" si="2"/>
        <v>390.73999999999995</v>
      </c>
      <c r="H43" s="77">
        <f>331.352+59.388</f>
        <v>390.73999999999995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2.931</v>
      </c>
      <c r="E49" s="77"/>
      <c r="F49" s="77">
        <v>2.931</v>
      </c>
      <c r="G49" s="85">
        <f t="shared" si="2"/>
        <v>80.441999999999993</v>
      </c>
      <c r="H49" s="77"/>
      <c r="I49" s="77">
        <f>77.511+2.931</f>
        <v>80.441999999999993</v>
      </c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24.713000000000001</v>
      </c>
      <c r="E50" s="77"/>
      <c r="F50" s="77">
        <v>24.713000000000001</v>
      </c>
      <c r="G50" s="85">
        <f t="shared" si="2"/>
        <v>172.08500000000001</v>
      </c>
      <c r="H50" s="77"/>
      <c r="I50" s="77">
        <f>147.372+24.713</f>
        <v>172.08500000000001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79.364999999999995</v>
      </c>
      <c r="E59" s="77"/>
      <c r="F59" s="77">
        <v>79.364999999999995</v>
      </c>
      <c r="G59" s="85">
        <f t="shared" si="2"/>
        <v>416.80799999999999</v>
      </c>
      <c r="H59" s="77"/>
      <c r="I59" s="77">
        <f>337.443+79.365</f>
        <v>416.80799999999999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110.187</v>
      </c>
      <c r="E61" s="77"/>
      <c r="F61" s="77">
        <v>110.187</v>
      </c>
      <c r="G61" s="85">
        <f t="shared" si="2"/>
        <v>734.26099999999997</v>
      </c>
      <c r="H61" s="77"/>
      <c r="I61" s="77">
        <f>624.074+110.187</f>
        <v>734.26099999999997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>
        <v>973.72</v>
      </c>
      <c r="C71" s="76">
        <v>932.22</v>
      </c>
      <c r="D71" s="76">
        <f t="shared" si="1"/>
        <v>79.074000000000012</v>
      </c>
      <c r="E71" s="76">
        <f>+E72+E76+E80+E81+E84+E82+E83</f>
        <v>0</v>
      </c>
      <c r="F71" s="76">
        <f>+F72+F76+F80+F81+F84+F82+F83</f>
        <v>79.074000000000012</v>
      </c>
      <c r="G71" s="76">
        <f t="shared" si="2"/>
        <v>715.49400000000003</v>
      </c>
      <c r="H71" s="76">
        <f>+H72+H76+H80+H81+H84+H82+H83</f>
        <v>715.49400000000003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67.440000000000012</v>
      </c>
      <c r="E72" s="78">
        <f t="shared" ref="E72:I72" si="9">+E73+E74+E75</f>
        <v>0</v>
      </c>
      <c r="F72" s="78">
        <f t="shared" si="9"/>
        <v>67.440000000000012</v>
      </c>
      <c r="G72" s="85">
        <f t="shared" si="2"/>
        <v>555.09400000000005</v>
      </c>
      <c r="H72" s="78">
        <f t="shared" si="9"/>
        <v>555.09400000000005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66.296000000000006</v>
      </c>
      <c r="E73" s="77"/>
      <c r="F73" s="77">
        <v>66.296000000000006</v>
      </c>
      <c r="G73" s="85">
        <f t="shared" si="2"/>
        <v>429.64100000000002</v>
      </c>
      <c r="H73" s="77">
        <f>363.345+66.296</f>
        <v>429.64100000000002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1.1439999999999999</v>
      </c>
      <c r="E75" s="77"/>
      <c r="F75" s="77">
        <v>1.1439999999999999</v>
      </c>
      <c r="G75" s="85">
        <f t="shared" si="2"/>
        <v>125.453</v>
      </c>
      <c r="H75" s="77">
        <f>124.309+1.144</f>
        <v>125.453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11.634</v>
      </c>
      <c r="E76" s="78">
        <f t="shared" ref="E76:I76" si="10">+E77+E78+E79</f>
        <v>0</v>
      </c>
      <c r="F76" s="78">
        <f t="shared" si="10"/>
        <v>11.634</v>
      </c>
      <c r="G76" s="76">
        <f t="shared" si="2"/>
        <v>160.4</v>
      </c>
      <c r="H76" s="78">
        <f t="shared" si="10"/>
        <v>160.4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39.847999999999999</v>
      </c>
      <c r="H77" s="77">
        <v>39.847999999999999</v>
      </c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11.634</v>
      </c>
      <c r="E79" s="77"/>
      <c r="F79" s="77">
        <v>11.634</v>
      </c>
      <c r="G79" s="85">
        <f t="shared" si="2"/>
        <v>120.55200000000001</v>
      </c>
      <c r="H79" s="77">
        <f>108.918+11.634</f>
        <v>120.55200000000001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>
        <v>28.96</v>
      </c>
      <c r="C90" s="76">
        <v>28.96</v>
      </c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22.71</v>
      </c>
      <c r="H90" s="76">
        <f t="shared" si="14"/>
        <v>22.71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22.71</v>
      </c>
      <c r="H91" s="77">
        <v>22.71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>
        <v>891.44</v>
      </c>
      <c r="C94" s="76">
        <v>891.44</v>
      </c>
      <c r="D94" s="76">
        <f t="shared" si="11"/>
        <v>128.369</v>
      </c>
      <c r="E94" s="76">
        <f>+E95+E96+E97+E98+E99+E100+E101+E102+E103+E104</f>
        <v>0</v>
      </c>
      <c r="F94" s="76">
        <f>+F95+F96+F97+F98+F99+F100+F101+F102+F103+F104</f>
        <v>128.369</v>
      </c>
      <c r="G94" s="76">
        <f t="shared" si="12"/>
        <v>632.75900000000001</v>
      </c>
      <c r="H94" s="76">
        <f>+H95+H96+H97+H98+H99+H100+H101+H102+H103+H104</f>
        <v>632.75900000000001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128.369</v>
      </c>
      <c r="E99" s="77"/>
      <c r="F99" s="77">
        <v>128.369</v>
      </c>
      <c r="G99" s="85">
        <f t="shared" si="12"/>
        <v>632.75900000000001</v>
      </c>
      <c r="H99" s="77">
        <f>504.39+128.369</f>
        <v>632.75900000000001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>
        <v>27828</v>
      </c>
      <c r="C144" s="80">
        <v>26610.25</v>
      </c>
      <c r="D144" s="76">
        <f t="shared" si="11"/>
        <v>0</v>
      </c>
      <c r="E144" s="77"/>
      <c r="F144" s="77"/>
      <c r="G144" s="76">
        <f t="shared" si="12"/>
        <v>19020.248</v>
      </c>
      <c r="H144" s="77">
        <v>3758.5569999999998</v>
      </c>
      <c r="I144" s="77">
        <v>15261.691000000001</v>
      </c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15812.7</v>
      </c>
      <c r="C147" s="76">
        <f t="shared" ref="C147:I147" si="23">+C148+C149+C152+C150+C151</f>
        <v>14374.94</v>
      </c>
      <c r="D147" s="76">
        <f t="shared" si="23"/>
        <v>2198.9679999999998</v>
      </c>
      <c r="E147" s="76">
        <f t="shared" si="23"/>
        <v>1760.6799999999998</v>
      </c>
      <c r="F147" s="76">
        <f t="shared" si="23"/>
        <v>438.28800000000001</v>
      </c>
      <c r="G147" s="76">
        <f t="shared" si="23"/>
        <v>12952.795</v>
      </c>
      <c r="H147" s="76">
        <f t="shared" si="23"/>
        <v>8433.7909999999993</v>
      </c>
      <c r="I147" s="76">
        <f t="shared" si="23"/>
        <v>4519.0039999999999</v>
      </c>
    </row>
    <row r="148" spans="1:9" x14ac:dyDescent="0.2">
      <c r="A148" s="2" t="s">
        <v>111</v>
      </c>
      <c r="B148" s="76">
        <v>15584.7</v>
      </c>
      <c r="C148" s="80">
        <v>14150.17</v>
      </c>
      <c r="D148" s="76">
        <f t="shared" ref="D148:D152" si="24">+E148+F148</f>
        <v>2143.3019999999997</v>
      </c>
      <c r="E148" s="77">
        <v>1705.0139999999999</v>
      </c>
      <c r="F148" s="77">
        <v>438.28800000000001</v>
      </c>
      <c r="G148" s="85">
        <f t="shared" ref="G148:G152" si="25">+H148+I148</f>
        <v>12841.463</v>
      </c>
      <c r="H148" s="77">
        <f>6617.445+1705.014</f>
        <v>8322.4589999999989</v>
      </c>
      <c r="I148" s="77">
        <f>4080.716+438.288</f>
        <v>4519.0039999999999</v>
      </c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228</v>
      </c>
      <c r="C150" s="80">
        <v>224.77</v>
      </c>
      <c r="D150" s="76">
        <f t="shared" si="24"/>
        <v>55.665999999999997</v>
      </c>
      <c r="E150" s="77">
        <v>55.665999999999997</v>
      </c>
      <c r="F150" s="77"/>
      <c r="G150" s="85">
        <f t="shared" si="25"/>
        <v>111.33199999999999</v>
      </c>
      <c r="H150" s="77">
        <f>55.666+55.666</f>
        <v>111.33199999999999</v>
      </c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95647.700000000012</v>
      </c>
      <c r="C153" s="76">
        <f t="shared" si="26"/>
        <v>87593.85</v>
      </c>
      <c r="D153" s="76">
        <f t="shared" si="26"/>
        <v>7563.8769999999986</v>
      </c>
      <c r="E153" s="76">
        <f t="shared" si="26"/>
        <v>1017.0970000000001</v>
      </c>
      <c r="F153" s="76">
        <f t="shared" si="26"/>
        <v>6546.7799999999988</v>
      </c>
      <c r="G153" s="76">
        <f t="shared" si="26"/>
        <v>71618.141999999993</v>
      </c>
      <c r="H153" s="76">
        <f t="shared" si="26"/>
        <v>16879.574000000001</v>
      </c>
      <c r="I153" s="76">
        <f t="shared" si="26"/>
        <v>54738.567999999999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58837.130000000005</v>
      </c>
      <c r="C154" s="76">
        <f t="shared" si="27"/>
        <v>52348.5</v>
      </c>
      <c r="D154" s="76">
        <f t="shared" si="27"/>
        <v>7229.628999999999</v>
      </c>
      <c r="E154" s="76">
        <f t="shared" si="27"/>
        <v>999.57</v>
      </c>
      <c r="F154" s="76">
        <f t="shared" si="27"/>
        <v>6230.0589999999993</v>
      </c>
      <c r="G154" s="76">
        <f t="shared" si="27"/>
        <v>46661.362000000001</v>
      </c>
      <c r="H154" s="76">
        <f t="shared" si="27"/>
        <v>8656.6169999999984</v>
      </c>
      <c r="I154" s="76">
        <f t="shared" si="27"/>
        <v>38004.745000000003</v>
      </c>
    </row>
    <row r="155" spans="1:9" x14ac:dyDescent="0.2">
      <c r="A155" s="31" t="s">
        <v>113</v>
      </c>
      <c r="B155" s="76">
        <f t="shared" ref="B155:I155" si="28">B13++B19+B23+B85+B94+B105+B106+B123+B124-B126+B34</f>
        <v>4278.9699999999993</v>
      </c>
      <c r="C155" s="76">
        <f t="shared" si="28"/>
        <v>4225.5</v>
      </c>
      <c r="D155" s="76">
        <f t="shared" si="28"/>
        <v>334.24800000000005</v>
      </c>
      <c r="E155" s="76">
        <f t="shared" si="28"/>
        <v>17.527000000000001</v>
      </c>
      <c r="F155" s="76">
        <f t="shared" si="28"/>
        <v>316.721</v>
      </c>
      <c r="G155" s="76">
        <f t="shared" si="28"/>
        <v>3057.5680000000002</v>
      </c>
      <c r="H155" s="76">
        <f t="shared" si="28"/>
        <v>1585.4360000000001</v>
      </c>
      <c r="I155" s="76">
        <f t="shared" si="28"/>
        <v>1472.1320000000001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167</v>
      </c>
      <c r="B159" s="83"/>
      <c r="G159" s="69" t="s">
        <v>165</v>
      </c>
    </row>
    <row r="160" spans="1:9" x14ac:dyDescent="0.2">
      <c r="B160" s="83"/>
    </row>
    <row r="161" spans="1:2" x14ac:dyDescent="0.2">
      <c r="B161" s="83"/>
    </row>
    <row r="162" spans="1:2" x14ac:dyDescent="0.2">
      <c r="A162" s="34"/>
      <c r="B162" s="81"/>
    </row>
    <row r="163" spans="1:2" x14ac:dyDescent="0.2">
      <c r="B163" s="83"/>
    </row>
    <row r="164" spans="1:2" x14ac:dyDescent="0.2">
      <c r="B164" s="83"/>
    </row>
    <row r="165" spans="1:2" x14ac:dyDescent="0.2">
      <c r="B165" s="81"/>
    </row>
    <row r="166" spans="1:2" x14ac:dyDescent="0.2">
      <c r="B166" s="83"/>
    </row>
    <row r="167" spans="1:2" x14ac:dyDescent="0.2">
      <c r="B167" s="83"/>
    </row>
    <row r="168" spans="1:2" x14ac:dyDescent="0.2">
      <c r="B168" s="83"/>
    </row>
    <row r="169" spans="1:2" x14ac:dyDescent="0.2">
      <c r="B169" s="83"/>
    </row>
    <row r="170" spans="1:2" x14ac:dyDescent="0.2">
      <c r="B170" s="83"/>
    </row>
    <row r="171" spans="1:2" x14ac:dyDescent="0.2">
      <c r="A171" s="34"/>
      <c r="B171" s="81"/>
    </row>
    <row r="173" spans="1:2" x14ac:dyDescent="0.2">
      <c r="A173" s="35"/>
      <c r="B173" s="81"/>
    </row>
    <row r="174" spans="1:2" x14ac:dyDescent="0.2">
      <c r="B174" s="83"/>
    </row>
    <row r="175" spans="1:2" x14ac:dyDescent="0.2">
      <c r="B175" s="83"/>
    </row>
    <row r="176" spans="1:2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E12" sqref="E12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162</v>
      </c>
      <c r="B1" s="68"/>
    </row>
    <row r="2" spans="1:9" x14ac:dyDescent="0.2">
      <c r="B2" s="70"/>
      <c r="C2" s="71"/>
    </row>
    <row r="3" spans="1:9" ht="16.5" x14ac:dyDescent="0.2">
      <c r="A3" s="91" t="s">
        <v>154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7" t="s">
        <v>159</v>
      </c>
      <c r="B4" s="87"/>
      <c r="C4" s="87"/>
      <c r="D4" s="87"/>
      <c r="E4" s="87"/>
      <c r="F4" s="87"/>
      <c r="G4" s="87"/>
      <c r="H4" s="87"/>
      <c r="I4" s="87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2" t="s">
        <v>114</v>
      </c>
      <c r="B7" s="93" t="s">
        <v>142</v>
      </c>
      <c r="C7" s="93" t="s">
        <v>156</v>
      </c>
      <c r="D7" s="94" t="s">
        <v>160</v>
      </c>
      <c r="E7" s="95"/>
      <c r="F7" s="95"/>
      <c r="G7" s="94" t="s">
        <v>161</v>
      </c>
      <c r="H7" s="95"/>
      <c r="I7" s="95"/>
    </row>
    <row r="8" spans="1:9" s="17" customFormat="1" ht="46.5" customHeight="1" x14ac:dyDescent="0.15">
      <c r="A8" s="92"/>
      <c r="B8" s="93"/>
      <c r="C8" s="93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1" t="s">
        <v>8</v>
      </c>
      <c r="B17" s="76">
        <f>+B18+B19+B23+B22</f>
        <v>2.2000000000000002</v>
      </c>
      <c r="C17" s="76">
        <f t="shared" ref="C17:I17" si="3">+C18+C19+C23+C22</f>
        <v>2.2000000000000002</v>
      </c>
      <c r="D17" s="76">
        <f t="shared" si="1"/>
        <v>1.286</v>
      </c>
      <c r="E17" s="76">
        <f t="shared" si="3"/>
        <v>0</v>
      </c>
      <c r="F17" s="76">
        <f t="shared" si="3"/>
        <v>1.286</v>
      </c>
      <c r="G17" s="76">
        <f t="shared" si="2"/>
        <v>2.1950000000000003</v>
      </c>
      <c r="H17" s="76">
        <f t="shared" si="3"/>
        <v>0</v>
      </c>
      <c r="I17" s="76">
        <f t="shared" si="3"/>
        <v>2.1950000000000003</v>
      </c>
    </row>
    <row r="18" spans="1:9" x14ac:dyDescent="0.2">
      <c r="A18" s="22" t="s">
        <v>9</v>
      </c>
      <c r="B18" s="78">
        <v>1.97</v>
      </c>
      <c r="C18" s="77">
        <v>1.97</v>
      </c>
      <c r="D18" s="76">
        <f t="shared" si="1"/>
        <v>1.1779999999999999</v>
      </c>
      <c r="E18" s="77"/>
      <c r="F18" s="77">
        <v>1.1779999999999999</v>
      </c>
      <c r="G18" s="85">
        <f t="shared" si="2"/>
        <v>1.9670000000000001</v>
      </c>
      <c r="H18" s="77"/>
      <c r="I18" s="77">
        <f>0.789+1.178</f>
        <v>1.9670000000000001</v>
      </c>
    </row>
    <row r="19" spans="1:9" x14ac:dyDescent="0.2">
      <c r="A19" s="23" t="s">
        <v>10</v>
      </c>
      <c r="B19" s="78">
        <v>0.23</v>
      </c>
      <c r="C19" s="77">
        <v>0.23</v>
      </c>
      <c r="D19" s="76">
        <f t="shared" si="1"/>
        <v>0.108</v>
      </c>
      <c r="E19" s="77">
        <f>+E20+E21</f>
        <v>0</v>
      </c>
      <c r="F19" s="77">
        <f>+F20+F21</f>
        <v>0.108</v>
      </c>
      <c r="G19" s="76">
        <f t="shared" si="2"/>
        <v>0.22799999999999998</v>
      </c>
      <c r="H19" s="77">
        <f t="shared" ref="H19:I19" si="4">+H20+H21</f>
        <v>0</v>
      </c>
      <c r="I19" s="77">
        <f t="shared" si="4"/>
        <v>0.22799999999999998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0.108</v>
      </c>
      <c r="E21" s="77"/>
      <c r="F21" s="77">
        <v>0.108</v>
      </c>
      <c r="G21" s="76">
        <f t="shared" si="2"/>
        <v>0.22799999999999998</v>
      </c>
      <c r="H21" s="77"/>
      <c r="I21" s="77">
        <f>0.12+0.108</f>
        <v>0.22799999999999998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2.2000000000000002</v>
      </c>
      <c r="C153" s="76">
        <f t="shared" si="26"/>
        <v>2.2000000000000002</v>
      </c>
      <c r="D153" s="76">
        <f t="shared" si="26"/>
        <v>1.286</v>
      </c>
      <c r="E153" s="76">
        <f t="shared" si="26"/>
        <v>0</v>
      </c>
      <c r="F153" s="76">
        <f t="shared" si="26"/>
        <v>1.286</v>
      </c>
      <c r="G153" s="76">
        <f t="shared" si="26"/>
        <v>2.1950000000000003</v>
      </c>
      <c r="H153" s="76">
        <f t="shared" si="26"/>
        <v>0</v>
      </c>
      <c r="I153" s="76">
        <f t="shared" si="26"/>
        <v>2.1950000000000003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1.97</v>
      </c>
      <c r="C154" s="76">
        <f t="shared" si="27"/>
        <v>1.97</v>
      </c>
      <c r="D154" s="76">
        <f t="shared" si="27"/>
        <v>1.1779999999999999</v>
      </c>
      <c r="E154" s="76">
        <f t="shared" si="27"/>
        <v>0</v>
      </c>
      <c r="F154" s="76">
        <f t="shared" si="27"/>
        <v>1.1779999999999999</v>
      </c>
      <c r="G154" s="76">
        <f t="shared" si="27"/>
        <v>1.9670000000000001</v>
      </c>
      <c r="H154" s="76">
        <f t="shared" si="27"/>
        <v>0</v>
      </c>
      <c r="I154" s="76">
        <f t="shared" si="27"/>
        <v>1.9670000000000001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0.23</v>
      </c>
      <c r="C155" s="76">
        <f t="shared" si="28"/>
        <v>0.23</v>
      </c>
      <c r="D155" s="76">
        <f t="shared" si="28"/>
        <v>0.108</v>
      </c>
      <c r="E155" s="76">
        <f t="shared" si="28"/>
        <v>0</v>
      </c>
      <c r="F155" s="76">
        <f t="shared" si="28"/>
        <v>0.108</v>
      </c>
      <c r="G155" s="76">
        <f t="shared" si="28"/>
        <v>0.22799999999999998</v>
      </c>
      <c r="H155" s="76">
        <f t="shared" si="28"/>
        <v>0</v>
      </c>
      <c r="I155" s="76">
        <f t="shared" si="28"/>
        <v>0.22799999999999998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166</v>
      </c>
      <c r="B159" s="83"/>
      <c r="G159" s="69" t="s">
        <v>165</v>
      </c>
    </row>
    <row r="160" spans="1:9" x14ac:dyDescent="0.2">
      <c r="B160" s="83"/>
    </row>
    <row r="161" spans="1:2" x14ac:dyDescent="0.2">
      <c r="B161" s="83"/>
    </row>
    <row r="162" spans="1:2" x14ac:dyDescent="0.2">
      <c r="A162" s="34"/>
      <c r="B162" s="81"/>
    </row>
    <row r="163" spans="1:2" x14ac:dyDescent="0.2">
      <c r="B163" s="83"/>
    </row>
    <row r="164" spans="1:2" x14ac:dyDescent="0.2">
      <c r="B164" s="83"/>
    </row>
    <row r="165" spans="1:2" x14ac:dyDescent="0.2">
      <c r="B165" s="81"/>
    </row>
    <row r="166" spans="1:2" x14ac:dyDescent="0.2">
      <c r="B166" s="83"/>
    </row>
    <row r="167" spans="1:2" x14ac:dyDescent="0.2">
      <c r="B167" s="83"/>
    </row>
    <row r="168" spans="1:2" x14ac:dyDescent="0.2">
      <c r="B168" s="83"/>
    </row>
    <row r="169" spans="1:2" x14ac:dyDescent="0.2">
      <c r="B169" s="83"/>
    </row>
    <row r="170" spans="1:2" x14ac:dyDescent="0.2">
      <c r="B170" s="83"/>
    </row>
    <row r="171" spans="1:2" x14ac:dyDescent="0.2">
      <c r="A171" s="34"/>
      <c r="B171" s="81"/>
    </row>
    <row r="173" spans="1:2" x14ac:dyDescent="0.2">
      <c r="A173" s="35"/>
      <c r="B173" s="81"/>
    </row>
    <row r="174" spans="1:2" x14ac:dyDescent="0.2">
      <c r="B174" s="83"/>
    </row>
    <row r="175" spans="1:2" x14ac:dyDescent="0.2">
      <c r="B175" s="83"/>
    </row>
    <row r="176" spans="1:2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2022-08-09T07:24:30Z</cp:lastPrinted>
  <dcterms:created xsi:type="dcterms:W3CDTF">2019-05-16T07:12:22Z</dcterms:created>
  <dcterms:modified xsi:type="dcterms:W3CDTF">2022-08-12T08:31:51Z</dcterms:modified>
</cp:coreProperties>
</file>